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AOLO\PIAO\2026- 2028\"/>
    </mc:Choice>
  </mc:AlternateContent>
  <xr:revisionPtr revIDLastSave="0" documentId="13_ncr:1_{B3C03A32-028F-464D-8BCA-A800228B306D}" xr6:coauthVersionLast="47" xr6:coauthVersionMax="47" xr10:uidLastSave="{00000000-0000-0000-0000-000000000000}"/>
  <bookViews>
    <workbookView xWindow="-120" yWindow="-120" windowWidth="29040" windowHeight="15720" activeTab="5" xr2:uid="{D36CF042-AEED-4A4E-B324-2B7FEC02EE20}"/>
  </bookViews>
  <sheets>
    <sheet name="CHECK DM 17-3-2020" sheetId="1" r:id="rId1"/>
    <sheet name="2022" sheetId="8" r:id="rId2"/>
    <sheet name="2023" sheetId="6" r:id="rId3"/>
    <sheet name="2024" sheetId="9" r:id="rId4"/>
    <sheet name="2026" sheetId="10" r:id="rId5"/>
    <sheet name="CHECK 557 296-06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7" l="1"/>
  <c r="E2" i="10"/>
  <c r="C11" i="10"/>
  <c r="B11" i="10"/>
  <c r="A11" i="10"/>
  <c r="D8" i="10" l="1"/>
  <c r="C8" i="10"/>
  <c r="B8" i="10"/>
  <c r="A8" i="10"/>
  <c r="D6" i="10" l="1"/>
  <c r="B13" i="10"/>
  <c r="C13" i="10"/>
  <c r="D13" i="10"/>
  <c r="A13" i="10"/>
  <c r="F2" i="10"/>
  <c r="G2" i="10" l="1"/>
  <c r="G14" i="10" s="1"/>
  <c r="B12" i="1" s="1"/>
  <c r="B11" i="1" s="1"/>
  <c r="I21" i="9"/>
  <c r="C14" i="9" l="1"/>
  <c r="F14" i="9"/>
  <c r="E14" i="9"/>
  <c r="C18" i="9"/>
  <c r="F18" i="9"/>
  <c r="C12" i="9"/>
  <c r="F12" i="9"/>
  <c r="C10" i="9"/>
  <c r="F10" i="9"/>
  <c r="C16" i="9"/>
  <c r="F16" i="9"/>
  <c r="C13" i="9"/>
  <c r="F13" i="9"/>
  <c r="C17" i="9"/>
  <c r="F17" i="9"/>
  <c r="C15" i="9"/>
  <c r="F15" i="9"/>
  <c r="G16" i="9"/>
  <c r="G18" i="9"/>
  <c r="G19" i="9"/>
  <c r="H19" i="9"/>
  <c r="G20" i="9"/>
  <c r="G10" i="9"/>
  <c r="G11" i="9"/>
  <c r="G12" i="9"/>
  <c r="G13" i="9"/>
  <c r="E17" i="9"/>
  <c r="G15" i="9"/>
  <c r="H16" i="9" l="1"/>
  <c r="I16" i="9" s="1"/>
  <c r="H13" i="9"/>
  <c r="H18" i="9"/>
  <c r="H12" i="9"/>
  <c r="I19" i="9"/>
  <c r="E21" i="9"/>
  <c r="H17" i="9"/>
  <c r="H14" i="9"/>
  <c r="I18" i="9"/>
  <c r="I12" i="9"/>
  <c r="H10" i="9"/>
  <c r="I10" i="9" s="1"/>
  <c r="H15" i="9"/>
  <c r="I15" i="9" s="1"/>
  <c r="I13" i="9"/>
  <c r="F21" i="9"/>
  <c r="B14" i="9" l="1"/>
  <c r="G14" i="9" s="1"/>
  <c r="C20" i="9"/>
  <c r="D19" i="9"/>
  <c r="C11" i="9"/>
  <c r="D18" i="9"/>
  <c r="D12" i="9"/>
  <c r="D10" i="9"/>
  <c r="D16" i="9"/>
  <c r="D13" i="9"/>
  <c r="D15" i="9"/>
  <c r="B17" i="9"/>
  <c r="D10" i="6"/>
  <c r="E10" i="6"/>
  <c r="D11" i="6"/>
  <c r="E11" i="6"/>
  <c r="D12" i="6"/>
  <c r="E12" i="6"/>
  <c r="C13" i="6"/>
  <c r="D13" i="6"/>
  <c r="C15" i="6"/>
  <c r="E15" i="6" s="1"/>
  <c r="D15" i="6"/>
  <c r="D16" i="6"/>
  <c r="E16" i="6" s="1"/>
  <c r="C17" i="6"/>
  <c r="D17" i="6"/>
  <c r="E17" i="6" s="1"/>
  <c r="D18" i="6"/>
  <c r="E18" i="6" s="1"/>
  <c r="E19" i="6"/>
  <c r="D10" i="8"/>
  <c r="E10" i="8" s="1"/>
  <c r="D11" i="8"/>
  <c r="E11" i="8" s="1"/>
  <c r="D12" i="8"/>
  <c r="E12" i="8" s="1"/>
  <c r="D13" i="8"/>
  <c r="E13" i="8" s="1"/>
  <c r="D14" i="8"/>
  <c r="E14" i="8" s="1"/>
  <c r="D15" i="8"/>
  <c r="E15" i="8" s="1"/>
  <c r="D16" i="8"/>
  <c r="E16" i="8" s="1"/>
  <c r="D17" i="8"/>
  <c r="E17" i="8" s="1"/>
  <c r="D18" i="8"/>
  <c r="E18" i="8" s="1"/>
  <c r="D19" i="8"/>
  <c r="E19" i="8" s="1"/>
  <c r="C20" i="8"/>
  <c r="C23" i="8" s="1"/>
  <c r="D20" i="8"/>
  <c r="E20" i="8" s="1"/>
  <c r="D21" i="8"/>
  <c r="E21" i="8"/>
  <c r="D22" i="8"/>
  <c r="E22" i="8"/>
  <c r="C5" i="9"/>
  <c r="B4" i="1" s="1"/>
  <c r="E13" i="6" l="1"/>
  <c r="D11" i="9"/>
  <c r="H11" i="9"/>
  <c r="D20" i="9"/>
  <c r="H20" i="9"/>
  <c r="I20" i="9" s="1"/>
  <c r="I14" i="9"/>
  <c r="D23" i="8"/>
  <c r="B21" i="9"/>
  <c r="G17" i="9"/>
  <c r="I17" i="9" s="1"/>
  <c r="D17" i="9"/>
  <c r="D14" i="9"/>
  <c r="D21" i="9" s="1"/>
  <c r="C21" i="9"/>
  <c r="D14" i="6"/>
  <c r="D20" i="6" s="1"/>
  <c r="C14" i="6"/>
  <c r="E14" i="6" s="1"/>
  <c r="E20" i="6" s="1"/>
  <c r="E23" i="8"/>
  <c r="D3" i="6"/>
  <c r="D2" i="6"/>
  <c r="H21" i="9" l="1"/>
  <c r="I11" i="9"/>
  <c r="G21" i="9"/>
  <c r="C20" i="6"/>
  <c r="D5" i="6"/>
  <c r="B3" i="1" s="1"/>
  <c r="B1" i="1" l="1"/>
  <c r="B1" i="7"/>
  <c r="E5" i="8"/>
  <c r="B2" i="1" s="1"/>
  <c r="B3" i="7" l="1"/>
  <c r="B5" i="1"/>
  <c r="B9" i="1"/>
  <c r="B7" i="1" l="1"/>
  <c r="B10" i="1" s="1"/>
  <c r="B13" i="1" l="1"/>
  <c r="B8" i="1"/>
  <c r="F23" i="6"/>
</calcChain>
</file>

<file path=xl/sharedStrings.xml><?xml version="1.0" encoding="utf-8"?>
<sst xmlns="http://schemas.openxmlformats.org/spreadsheetml/2006/main" count="80" uniqueCount="49">
  <si>
    <t>D= B-C</t>
  </si>
  <si>
    <t>E=A/D</t>
  </si>
  <si>
    <t>VALORE SOGLIA ART 4, TAB.1, LETTERA A DECRETO 17-03-2020</t>
  </si>
  <si>
    <t>RISPETTO VALORE SOGLIA ART 4, TAB.1, LETTERA A DECRETO 17-03-2020</t>
  </si>
  <si>
    <t>DIPENDENTE</t>
  </si>
  <si>
    <t>TOTALE</t>
  </si>
  <si>
    <t>COMPETENZE</t>
  </si>
  <si>
    <t xml:space="preserve">Media 2011-2013 </t>
  </si>
  <si>
    <t xml:space="preserve">VERIFICA RISPETTO LIMITE ART dell’art 1 comma 557 quater della legge 296/06 </t>
  </si>
  <si>
    <t>CATEGORIA</t>
  </si>
  <si>
    <t>C1</t>
  </si>
  <si>
    <t>D1</t>
  </si>
  <si>
    <t>D3</t>
  </si>
  <si>
    <t>SEGRETARIO</t>
  </si>
  <si>
    <t>C3</t>
  </si>
  <si>
    <t>TITOLO I</t>
  </si>
  <si>
    <t>TITOLO 2</t>
  </si>
  <si>
    <t>TITOLO 3</t>
  </si>
  <si>
    <t>ENTRATE CORRENTI 2022</t>
  </si>
  <si>
    <t>SOMMINISTRAZIONE LAVORO</t>
  </si>
  <si>
    <t>D6</t>
  </si>
  <si>
    <t>ONERI RIFLESSI C/ENTE (al netto irap)</t>
  </si>
  <si>
    <t>557 FUORI ORARIO</t>
  </si>
  <si>
    <t>B7</t>
  </si>
  <si>
    <t>C2</t>
  </si>
  <si>
    <t>B2</t>
  </si>
  <si>
    <t>SPESA DEL PERSONALE  PER L'ESERCIZIO 2022</t>
  </si>
  <si>
    <t>ENTRATE CORRENTI 2023</t>
  </si>
  <si>
    <t>SPESA DEL PERSONALE ESERCIZIO 2023</t>
  </si>
  <si>
    <t>SPESA DEL PERSONALE ESERCIZIO 2024 (A)</t>
  </si>
  <si>
    <t>ENTRATE CORRENTI 2024</t>
  </si>
  <si>
    <t>MEDIA ENTRATE CORRENTI 2022-2024 (B)</t>
  </si>
  <si>
    <t xml:space="preserve">Fondo Crediti di Dubbia Esigibilità risultante dal bilancio preventivo assestato anno 2024 (C) </t>
  </si>
  <si>
    <t>SPESA DEL PERSONALE ESERCIZIO 2024</t>
  </si>
  <si>
    <t>COMPETENZE AL NETTO ARRETRATI</t>
  </si>
  <si>
    <t>ONERI RIFLESSI C/ENTE (al netto irap e arretrati)</t>
  </si>
  <si>
    <t>ARRETRATI COMPETENZE</t>
  </si>
  <si>
    <t>ONERI RIFLESSI C/ENTE ARRETRATI (al netto irap)</t>
  </si>
  <si>
    <t>VALORE MASSIMO SPESA PERSONALE 2026 NEL RISPETTO SOGLIA ART 4, TAB.1, LETTERA A DECRETO 17-03-2020</t>
  </si>
  <si>
    <t>SPESA DEL PERSONALE ESERCIZIO 2026</t>
  </si>
  <si>
    <t>facolta assunzionali residue 2026</t>
  </si>
  <si>
    <t xml:space="preserve"> RETRIBUZIONE LORDA 2026</t>
  </si>
  <si>
    <t xml:space="preserve"> ONERI C/ENTE 2026</t>
  </si>
  <si>
    <t xml:space="preserve"> ONERI IRAP C/ENTE 2026</t>
  </si>
  <si>
    <t>indennità risultato 2025</t>
  </si>
  <si>
    <t>totale</t>
  </si>
  <si>
    <t>salario accesorio</t>
  </si>
  <si>
    <t>indennita po 2026</t>
  </si>
  <si>
    <t>SPESE DI PERSONALE PREVISTE 2026+irap c/ente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</si>
</sst>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4" fontId="0" fillId="0" borderId="1" xfId="0" applyNumberFormat="1" applyBorder="1"/>
    <xf numFmtId="4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4" fontId="1" fillId="0" borderId="1" xfId="0" applyNumberFormat="1" applyFont="1" applyBorder="1"/>
    <xf numFmtId="44" fontId="1" fillId="2" borderId="1" xfId="0" applyNumberFormat="1" applyFont="1" applyFill="1" applyBorder="1"/>
    <xf numFmtId="44" fontId="1" fillId="3" borderId="1" xfId="0" applyNumberFormat="1" applyFont="1" applyFill="1" applyBorder="1" applyAlignment="1">
      <alignment horizontal="center" vertical="center"/>
    </xf>
    <xf numFmtId="4" fontId="0" fillId="0" borderId="0" xfId="0" applyNumberFormat="1"/>
    <xf numFmtId="44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0" fillId="0" borderId="1" xfId="0" applyNumberFormat="1" applyBorder="1"/>
    <xf numFmtId="44" fontId="0" fillId="0" borderId="0" xfId="0" applyNumberFormat="1"/>
    <xf numFmtId="4" fontId="0" fillId="0" borderId="5" xfId="0" applyNumberFormat="1" applyBorder="1"/>
    <xf numFmtId="10" fontId="0" fillId="0" borderId="0" xfId="0" applyNumberFormat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10" fontId="1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4" fontId="0" fillId="0" borderId="6" xfId="0" applyNumberFormat="1" applyBorder="1"/>
    <xf numFmtId="0" fontId="1" fillId="0" borderId="6" xfId="0" applyFont="1" applyBorder="1"/>
    <xf numFmtId="44" fontId="1" fillId="0" borderId="6" xfId="0" applyNumberFormat="1" applyFont="1" applyBorder="1"/>
    <xf numFmtId="44" fontId="1" fillId="0" borderId="7" xfId="0" applyNumberFormat="1" applyFont="1" applyBorder="1" applyAlignment="1"/>
    <xf numFmtId="0" fontId="1" fillId="0" borderId="8" xfId="0" applyFont="1" applyBorder="1" applyAlignment="1"/>
    <xf numFmtId="0" fontId="1" fillId="0" borderId="9" xfId="0" applyFont="1" applyBorder="1" applyAlignment="1"/>
    <xf numFmtId="44" fontId="0" fillId="2" borderId="7" xfId="0" applyNumberFormat="1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1895D-15E1-4B21-8642-F02FC092F108}">
  <dimension ref="A1:B13"/>
  <sheetViews>
    <sheetView workbookViewId="0">
      <selection activeCell="B8" sqref="B8"/>
    </sheetView>
  </sheetViews>
  <sheetFormatPr defaultRowHeight="15" x14ac:dyDescent="0.25"/>
  <cols>
    <col min="1" max="1" width="43.140625" customWidth="1"/>
    <col min="2" max="2" width="19" customWidth="1"/>
  </cols>
  <sheetData>
    <row r="1" spans="1:2" ht="15.75" thickBot="1" x14ac:dyDescent="0.3">
      <c r="A1" s="1" t="s">
        <v>29</v>
      </c>
      <c r="B1" s="7">
        <f>'2024'!I21</f>
        <v>362781.47992299998</v>
      </c>
    </row>
    <row r="2" spans="1:2" ht="15.75" thickBot="1" x14ac:dyDescent="0.3">
      <c r="A2" s="22" t="s">
        <v>18</v>
      </c>
      <c r="B2" s="7">
        <f>'2022'!E5</f>
        <v>2335348.6800000002</v>
      </c>
    </row>
    <row r="3" spans="1:2" ht="15.75" thickBot="1" x14ac:dyDescent="0.3">
      <c r="A3" s="22" t="s">
        <v>27</v>
      </c>
      <c r="B3" s="7">
        <f>'2023'!D5</f>
        <v>2432024.66</v>
      </c>
    </row>
    <row r="4" spans="1:2" ht="15.75" thickBot="1" x14ac:dyDescent="0.3">
      <c r="A4" s="22" t="s">
        <v>30</v>
      </c>
      <c r="B4" s="7">
        <f>'2024'!C5</f>
        <v>2533109.65</v>
      </c>
    </row>
    <row r="5" spans="1:2" ht="15.75" thickBot="1" x14ac:dyDescent="0.3">
      <c r="A5" s="1" t="s">
        <v>31</v>
      </c>
      <c r="B5" s="7">
        <f>(B2+B3+B4)/3</f>
        <v>2433494.33</v>
      </c>
    </row>
    <row r="6" spans="1:2" ht="48" thickBot="1" x14ac:dyDescent="0.3">
      <c r="A6" s="23" t="s">
        <v>32</v>
      </c>
      <c r="B6" s="7">
        <v>41529.86</v>
      </c>
    </row>
    <row r="7" spans="1:2" ht="16.5" thickBot="1" x14ac:dyDescent="0.3">
      <c r="A7" s="24" t="s">
        <v>0</v>
      </c>
      <c r="B7" s="7">
        <f>B5-B6</f>
        <v>2391964.4700000002</v>
      </c>
    </row>
    <row r="8" spans="1:2" ht="16.5" thickBot="1" x14ac:dyDescent="0.3">
      <c r="A8" s="24" t="s">
        <v>1</v>
      </c>
      <c r="B8" s="25">
        <f>B1/B7</f>
        <v>0.15166675110479377</v>
      </c>
    </row>
    <row r="9" spans="1:2" ht="32.25" thickBot="1" x14ac:dyDescent="0.3">
      <c r="A9" s="24" t="s">
        <v>2</v>
      </c>
      <c r="B9" s="25">
        <f>28.6%</f>
        <v>0.28600000000000003</v>
      </c>
    </row>
    <row r="10" spans="1:2" ht="48" thickBot="1" x14ac:dyDescent="0.3">
      <c r="A10" s="24" t="s">
        <v>38</v>
      </c>
      <c r="B10" s="7">
        <f>B7*B9</f>
        <v>684101.83842000016</v>
      </c>
    </row>
    <row r="11" spans="1:2" ht="32.25" thickBot="1" x14ac:dyDescent="0.3">
      <c r="A11" s="24" t="s">
        <v>3</v>
      </c>
      <c r="B11" s="25" t="str">
        <f>IF(B12&lt;B10,"OK","NO")</f>
        <v>OK</v>
      </c>
    </row>
    <row r="12" spans="1:2" ht="16.5" thickBot="1" x14ac:dyDescent="0.3">
      <c r="A12" s="24" t="s">
        <v>39</v>
      </c>
      <c r="B12" s="7">
        <f>'2026'!G14</f>
        <v>353747.83946346096</v>
      </c>
    </row>
    <row r="13" spans="1:2" ht="16.5" thickBot="1" x14ac:dyDescent="0.3">
      <c r="A13" s="24" t="s">
        <v>40</v>
      </c>
      <c r="B13" s="7">
        <f>B10-B12</f>
        <v>330353.9989565392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17F49-C8AE-414B-8800-05DDFAF70A1C}">
  <dimension ref="A1:F23"/>
  <sheetViews>
    <sheetView workbookViewId="0">
      <selection activeCell="C5" sqref="C1:C1048576"/>
    </sheetView>
  </sheetViews>
  <sheetFormatPr defaultRowHeight="15" x14ac:dyDescent="0.25"/>
  <cols>
    <col min="1" max="1" width="12.140625" bestFit="1" customWidth="1"/>
    <col min="2" max="2" width="17.5703125" bestFit="1" customWidth="1"/>
    <col min="3" max="3" width="13.140625" bestFit="1" customWidth="1"/>
    <col min="4" max="4" width="14.28515625" bestFit="1" customWidth="1"/>
    <col min="5" max="5" width="14.7109375" bestFit="1" customWidth="1"/>
  </cols>
  <sheetData>
    <row r="1" spans="1:6" ht="15.75" thickBot="1" x14ac:dyDescent="0.3">
      <c r="A1" s="29" t="s">
        <v>18</v>
      </c>
      <c r="B1" s="30"/>
      <c r="C1" s="30"/>
      <c r="D1" s="30"/>
      <c r="E1" s="31"/>
    </row>
    <row r="2" spans="1:6" ht="54.75" customHeight="1" thickBot="1" x14ac:dyDescent="0.3">
      <c r="A2" s="32" t="s">
        <v>15</v>
      </c>
      <c r="B2" s="33"/>
      <c r="C2" s="33"/>
      <c r="D2" s="34"/>
      <c r="E2" s="3">
        <v>1571355.27</v>
      </c>
    </row>
    <row r="3" spans="1:6" ht="15.75" thickBot="1" x14ac:dyDescent="0.3">
      <c r="A3" s="32" t="s">
        <v>16</v>
      </c>
      <c r="B3" s="33"/>
      <c r="C3" s="33"/>
      <c r="D3" s="34"/>
      <c r="E3" s="3">
        <v>83635.259999999995</v>
      </c>
    </row>
    <row r="4" spans="1:6" ht="15.75" thickBot="1" x14ac:dyDescent="0.3">
      <c r="A4" s="32" t="s">
        <v>17</v>
      </c>
      <c r="B4" s="33"/>
      <c r="C4" s="33"/>
      <c r="D4" s="34"/>
      <c r="E4" s="3">
        <v>680358.15</v>
      </c>
    </row>
    <row r="5" spans="1:6" ht="15.75" thickBot="1" x14ac:dyDescent="0.3">
      <c r="E5" s="12">
        <f>SUM(E2:E4)</f>
        <v>2335348.6800000002</v>
      </c>
    </row>
    <row r="7" spans="1:6" ht="15.75" thickBot="1" x14ac:dyDescent="0.3"/>
    <row r="8" spans="1:6" ht="15.75" thickBot="1" x14ac:dyDescent="0.3">
      <c r="A8" s="26" t="s">
        <v>26</v>
      </c>
      <c r="B8" s="27"/>
      <c r="C8" s="27"/>
      <c r="D8" s="27"/>
      <c r="E8" s="27"/>
      <c r="F8" s="28"/>
    </row>
    <row r="9" spans="1:6" ht="45.75" thickBot="1" x14ac:dyDescent="0.3">
      <c r="A9" s="1" t="s">
        <v>4</v>
      </c>
      <c r="B9" s="1" t="s">
        <v>9</v>
      </c>
      <c r="C9" s="1" t="s">
        <v>6</v>
      </c>
      <c r="D9" s="5" t="s">
        <v>21</v>
      </c>
      <c r="E9" s="6" t="s">
        <v>5</v>
      </c>
    </row>
    <row r="10" spans="1:6" ht="15.75" thickBot="1" x14ac:dyDescent="0.3">
      <c r="A10" s="10"/>
      <c r="B10" s="10" t="s">
        <v>20</v>
      </c>
      <c r="C10" s="3">
        <v>4652.26</v>
      </c>
      <c r="D10" s="16">
        <f>1530.68-395.52</f>
        <v>1135.1600000000001</v>
      </c>
      <c r="E10" s="7">
        <f>C10+D10</f>
        <v>5787.42</v>
      </c>
    </row>
    <row r="11" spans="1:6" ht="15.75" thickBot="1" x14ac:dyDescent="0.3">
      <c r="A11" s="10"/>
      <c r="B11" s="10" t="s">
        <v>10</v>
      </c>
      <c r="C11" s="3">
        <v>26239.39</v>
      </c>
      <c r="D11" s="3">
        <f>9700.76-2246.16</f>
        <v>7454.6</v>
      </c>
      <c r="E11" s="7">
        <f t="shared" ref="E11:E22" si="0">C11+D11</f>
        <v>33693.99</v>
      </c>
    </row>
    <row r="12" spans="1:6" ht="15.75" thickBot="1" x14ac:dyDescent="0.3">
      <c r="A12" s="10"/>
      <c r="B12" s="10" t="s">
        <v>14</v>
      </c>
      <c r="C12" s="4">
        <v>27925.02</v>
      </c>
      <c r="D12" s="4">
        <f>9400.47-2159.38</f>
        <v>7241.0899999999992</v>
      </c>
      <c r="E12" s="7">
        <f t="shared" si="0"/>
        <v>35166.11</v>
      </c>
    </row>
    <row r="13" spans="1:6" ht="15.75" thickBot="1" x14ac:dyDescent="0.3">
      <c r="A13" s="10"/>
      <c r="B13" s="10" t="s">
        <v>12</v>
      </c>
      <c r="C13" s="3">
        <v>35936.639999999999</v>
      </c>
      <c r="D13" s="4">
        <f>11480.94-2794.7</f>
        <v>8686.2400000000016</v>
      </c>
      <c r="E13" s="7">
        <f t="shared" si="0"/>
        <v>44622.880000000005</v>
      </c>
    </row>
    <row r="14" spans="1:6" ht="15.75" thickBot="1" x14ac:dyDescent="0.3">
      <c r="A14" s="10"/>
      <c r="B14" s="10" t="s">
        <v>23</v>
      </c>
      <c r="C14" s="3">
        <v>21819.34</v>
      </c>
      <c r="D14" s="4">
        <f>6814.68-1792.08</f>
        <v>5022.6000000000004</v>
      </c>
      <c r="E14" s="7">
        <f t="shared" si="0"/>
        <v>26841.940000000002</v>
      </c>
    </row>
    <row r="15" spans="1:6" ht="15.75" thickBot="1" x14ac:dyDescent="0.3">
      <c r="A15" s="10"/>
      <c r="B15" s="10" t="s">
        <v>22</v>
      </c>
      <c r="C15" s="3">
        <v>2162.12</v>
      </c>
      <c r="D15">
        <f>851.06- 187.19</f>
        <v>663.86999999999989</v>
      </c>
      <c r="E15" s="7">
        <f t="shared" si="0"/>
        <v>2825.99</v>
      </c>
    </row>
    <row r="16" spans="1:6" ht="15.75" thickBot="1" x14ac:dyDescent="0.3">
      <c r="A16" s="11"/>
      <c r="B16" s="10" t="s">
        <v>13</v>
      </c>
      <c r="C16" s="15">
        <v>12499.68</v>
      </c>
      <c r="D16" s="3">
        <f>4037.76-1062.84</f>
        <v>2974.92</v>
      </c>
      <c r="E16" s="7">
        <f t="shared" si="0"/>
        <v>15474.6</v>
      </c>
    </row>
    <row r="17" spans="1:5" ht="15.75" thickBot="1" x14ac:dyDescent="0.3">
      <c r="A17" s="11"/>
      <c r="B17" s="10" t="s">
        <v>24</v>
      </c>
      <c r="C17" s="3">
        <v>1517.48</v>
      </c>
      <c r="D17" s="4">
        <f xml:space="preserve"> 504.23-129.38</f>
        <v>374.85</v>
      </c>
      <c r="E17" s="7">
        <f t="shared" si="0"/>
        <v>1892.33</v>
      </c>
    </row>
    <row r="18" spans="1:5" ht="15.75" thickBot="1" x14ac:dyDescent="0.3">
      <c r="A18" s="10"/>
      <c r="B18" s="10" t="s">
        <v>12</v>
      </c>
      <c r="C18" s="3">
        <v>32088.82</v>
      </c>
      <c r="D18" s="3">
        <f>11160.97-2710.55</f>
        <v>8450.4199999999983</v>
      </c>
      <c r="E18" s="7">
        <f t="shared" si="0"/>
        <v>40539.24</v>
      </c>
    </row>
    <row r="19" spans="1:5" ht="15.75" thickBot="1" x14ac:dyDescent="0.3">
      <c r="A19" s="10"/>
      <c r="B19" s="10" t="s">
        <v>12</v>
      </c>
      <c r="C19" s="3">
        <v>33674.69</v>
      </c>
      <c r="D19" s="3">
        <f>11724.39-2845.42</f>
        <v>8878.9699999999993</v>
      </c>
      <c r="E19" s="7">
        <f t="shared" si="0"/>
        <v>42553.66</v>
      </c>
    </row>
    <row r="20" spans="1:5" ht="15.75" thickBot="1" x14ac:dyDescent="0.3">
      <c r="A20" s="11"/>
      <c r="B20" s="10" t="s">
        <v>11</v>
      </c>
      <c r="C20" s="4">
        <f>(40384.87*66.67%)</f>
        <v>26924.592829000005</v>
      </c>
      <c r="D20" s="4">
        <f>(14965.46-3385.45)*66.67%</f>
        <v>7720.3926670000001</v>
      </c>
      <c r="E20" s="7">
        <f t="shared" si="0"/>
        <v>34644.985496000008</v>
      </c>
    </row>
    <row r="21" spans="1:5" ht="15.75" thickBot="1" x14ac:dyDescent="0.3">
      <c r="A21" s="10"/>
      <c r="B21" s="10" t="s">
        <v>11</v>
      </c>
      <c r="C21" s="15">
        <v>14189.25</v>
      </c>
      <c r="D21" s="4">
        <f>5224.64-1186.28</f>
        <v>4038.3600000000006</v>
      </c>
      <c r="E21" s="7">
        <f t="shared" si="0"/>
        <v>18227.61</v>
      </c>
    </row>
    <row r="22" spans="1:5" ht="15.75" thickBot="1" x14ac:dyDescent="0.3">
      <c r="A22" s="11"/>
      <c r="B22" s="11" t="s">
        <v>25</v>
      </c>
      <c r="C22" s="3">
        <v>22044.48</v>
      </c>
      <c r="D22" s="3">
        <f>8128.63-1884</f>
        <v>6244.63</v>
      </c>
      <c r="E22" s="7">
        <f t="shared" si="0"/>
        <v>28289.11</v>
      </c>
    </row>
    <row r="23" spans="1:5" ht="15.75" thickBot="1" x14ac:dyDescent="0.3">
      <c r="C23" s="12">
        <f>SUM(C10:C22)</f>
        <v>261673.76282900001</v>
      </c>
      <c r="D23" s="12">
        <f>SUM(D10:D22)</f>
        <v>68886.102666999999</v>
      </c>
      <c r="E23" s="13">
        <f>SUM(E10:E22)</f>
        <v>330559.86549599993</v>
      </c>
    </row>
  </sheetData>
  <mergeCells count="5">
    <mergeCell ref="A8:F8"/>
    <mergeCell ref="A1:E1"/>
    <mergeCell ref="A2:D2"/>
    <mergeCell ref="A3:D3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1F0F0-B6DA-4A05-890E-0BFE6EDF344E}">
  <sheetPr>
    <pageSetUpPr fitToPage="1"/>
  </sheetPr>
  <dimension ref="A1:F23"/>
  <sheetViews>
    <sheetView workbookViewId="0">
      <selection activeCell="B5" sqref="B1:B1048576"/>
    </sheetView>
  </sheetViews>
  <sheetFormatPr defaultRowHeight="15" x14ac:dyDescent="0.25"/>
  <cols>
    <col min="1" max="1" width="12.140625" bestFit="1" customWidth="1"/>
    <col min="2" max="2" width="19.5703125" bestFit="1" customWidth="1"/>
    <col min="3" max="3" width="13.140625" bestFit="1" customWidth="1"/>
    <col min="4" max="4" width="14.7109375" bestFit="1" customWidth="1"/>
    <col min="5" max="6" width="13.140625" bestFit="1" customWidth="1"/>
    <col min="13" max="13" width="40.85546875" customWidth="1"/>
    <col min="14" max="14" width="34.85546875" customWidth="1"/>
  </cols>
  <sheetData>
    <row r="1" spans="1:5" ht="15.75" thickBot="1" x14ac:dyDescent="0.3">
      <c r="A1" s="29" t="s">
        <v>27</v>
      </c>
      <c r="B1" s="30"/>
      <c r="C1" s="30"/>
      <c r="D1" s="31"/>
    </row>
    <row r="2" spans="1:5" ht="15.75" thickBot="1" x14ac:dyDescent="0.3">
      <c r="A2" s="32" t="s">
        <v>15</v>
      </c>
      <c r="B2" s="33"/>
      <c r="C2" s="33"/>
      <c r="D2" s="3">
        <f>1603272.56</f>
        <v>1603272.56</v>
      </c>
    </row>
    <row r="3" spans="1:5" ht="15.75" thickBot="1" x14ac:dyDescent="0.3">
      <c r="A3" s="32" t="s">
        <v>16</v>
      </c>
      <c r="B3" s="33"/>
      <c r="C3" s="33"/>
      <c r="D3" s="3">
        <f>142572.25</f>
        <v>142572.25</v>
      </c>
    </row>
    <row r="4" spans="1:5" ht="15.75" thickBot="1" x14ac:dyDescent="0.3">
      <c r="A4" s="32" t="s">
        <v>17</v>
      </c>
      <c r="B4" s="33"/>
      <c r="C4" s="33"/>
      <c r="D4" s="3">
        <v>686179.85</v>
      </c>
    </row>
    <row r="5" spans="1:5" ht="15.75" thickBot="1" x14ac:dyDescent="0.3">
      <c r="D5" s="12">
        <f>SUM(D2:D4)</f>
        <v>2432024.66</v>
      </c>
    </row>
    <row r="7" spans="1:5" ht="15.75" thickBot="1" x14ac:dyDescent="0.3"/>
    <row r="8" spans="1:5" ht="15.75" thickBot="1" x14ac:dyDescent="0.3">
      <c r="A8" s="26" t="s">
        <v>28</v>
      </c>
      <c r="B8" s="27"/>
      <c r="C8" s="27"/>
      <c r="D8" s="27"/>
      <c r="E8" s="28"/>
    </row>
    <row r="9" spans="1:5" ht="56.25" customHeight="1" thickBot="1" x14ac:dyDescent="0.3">
      <c r="A9" s="1" t="s">
        <v>4</v>
      </c>
      <c r="B9" s="1" t="s">
        <v>9</v>
      </c>
      <c r="C9" s="1" t="s">
        <v>6</v>
      </c>
      <c r="D9" s="5" t="s">
        <v>21</v>
      </c>
      <c r="E9" s="6" t="s">
        <v>5</v>
      </c>
    </row>
    <row r="10" spans="1:5" ht="15.75" thickBot="1" x14ac:dyDescent="0.3">
      <c r="A10" s="2"/>
      <c r="B10" s="10" t="s">
        <v>10</v>
      </c>
      <c r="C10" s="18">
        <v>23899.75</v>
      </c>
      <c r="D10" s="18">
        <f>8955.46-2057.45</f>
        <v>6898.0099999999993</v>
      </c>
      <c r="E10" s="4">
        <f t="shared" ref="E10:E19" si="0">SUM(C10:D10)</f>
        <v>30797.759999999998</v>
      </c>
    </row>
    <row r="11" spans="1:5" ht="15.75" thickBot="1" x14ac:dyDescent="0.3">
      <c r="A11" s="2"/>
      <c r="B11" s="10" t="s">
        <v>14</v>
      </c>
      <c r="C11" s="18">
        <v>27921.26</v>
      </c>
      <c r="D11" s="4">
        <f>9397.57-2159.09</f>
        <v>7238.48</v>
      </c>
      <c r="E11" s="4">
        <f t="shared" si="0"/>
        <v>35159.74</v>
      </c>
    </row>
    <row r="12" spans="1:5" ht="15.75" thickBot="1" x14ac:dyDescent="0.3">
      <c r="A12" s="2"/>
      <c r="B12" s="10" t="s">
        <v>12</v>
      </c>
      <c r="C12" s="18">
        <v>31660.46</v>
      </c>
      <c r="D12" s="4">
        <f xml:space="preserve"> 10517.37- 2548.71</f>
        <v>7968.6600000000008</v>
      </c>
      <c r="E12" s="4">
        <f t="shared" si="0"/>
        <v>39629.120000000003</v>
      </c>
    </row>
    <row r="13" spans="1:5" ht="15.75" thickBot="1" x14ac:dyDescent="0.3">
      <c r="A13" s="17"/>
      <c r="B13" s="10" t="s">
        <v>13</v>
      </c>
      <c r="C13" s="4">
        <f>1041.64*4</f>
        <v>4166.5600000000004</v>
      </c>
      <c r="D13" s="4">
        <f>(336.48*4)-(8.57*4)</f>
        <v>1311.64</v>
      </c>
      <c r="E13" s="4">
        <f t="shared" si="0"/>
        <v>5478.2000000000007</v>
      </c>
    </row>
    <row r="14" spans="1:5" ht="15.75" thickBot="1" x14ac:dyDescent="0.3">
      <c r="A14" s="17"/>
      <c r="B14" s="10" t="s">
        <v>13</v>
      </c>
      <c r="C14" s="4">
        <f>( 49996.98-C13)*(10/36)</f>
        <v>12730.672222222225</v>
      </c>
      <c r="D14" s="4">
        <f>(17406.26-4238.02-D13)*(10/36)</f>
        <v>3293.4999999999995</v>
      </c>
      <c r="E14" s="4">
        <f t="shared" si="0"/>
        <v>16024.172222222225</v>
      </c>
    </row>
    <row r="15" spans="1:5" ht="15.75" thickBot="1" x14ac:dyDescent="0.3">
      <c r="A15" s="2"/>
      <c r="B15" s="10" t="s">
        <v>12</v>
      </c>
      <c r="C15" s="4">
        <f>29944.94</f>
        <v>29944.94</v>
      </c>
      <c r="D15" s="4">
        <f>10511.54-2545.57</f>
        <v>7965.9700000000012</v>
      </c>
      <c r="E15" s="4">
        <f>SUM(C15:D15)</f>
        <v>37910.910000000003</v>
      </c>
    </row>
    <row r="16" spans="1:5" ht="15.75" thickBot="1" x14ac:dyDescent="0.3">
      <c r="A16" s="2"/>
      <c r="B16" s="10" t="s">
        <v>12</v>
      </c>
      <c r="C16" s="18">
        <v>31188.07</v>
      </c>
      <c r="D16" s="4">
        <f xml:space="preserve"> 10955.31- 2650.83</f>
        <v>8304.48</v>
      </c>
      <c r="E16" s="4">
        <f t="shared" si="0"/>
        <v>39492.550000000003</v>
      </c>
    </row>
    <row r="17" spans="1:6" ht="15.75" thickBot="1" x14ac:dyDescent="0.3">
      <c r="A17" s="17"/>
      <c r="B17" s="10" t="s">
        <v>11</v>
      </c>
      <c r="C17" s="4">
        <f>(33578.58*(24/36))</f>
        <v>22385.72</v>
      </c>
      <c r="D17" s="4">
        <f>( 12568.97-2850.92)*(24/36)</f>
        <v>6478.6999999999989</v>
      </c>
      <c r="E17" s="4">
        <f t="shared" si="0"/>
        <v>28864.42</v>
      </c>
    </row>
    <row r="18" spans="1:6" ht="15.75" thickBot="1" x14ac:dyDescent="0.3">
      <c r="A18" s="2"/>
      <c r="B18" s="10" t="s">
        <v>11</v>
      </c>
      <c r="C18" s="15">
        <v>32904.379999999997</v>
      </c>
      <c r="D18" s="18">
        <f>12568.97-2850.92</f>
        <v>9718.0499999999993</v>
      </c>
      <c r="E18" s="4">
        <f t="shared" si="0"/>
        <v>42622.429999999993</v>
      </c>
    </row>
    <row r="19" spans="1:6" ht="30.75" thickBot="1" x14ac:dyDescent="0.3">
      <c r="A19" s="17"/>
      <c r="B19" s="11" t="s">
        <v>19</v>
      </c>
      <c r="C19" s="4">
        <v>10104.93</v>
      </c>
      <c r="D19" s="4">
        <v>0</v>
      </c>
      <c r="E19" s="4">
        <f t="shared" si="0"/>
        <v>10104.93</v>
      </c>
    </row>
    <row r="20" spans="1:6" ht="15.75" thickBot="1" x14ac:dyDescent="0.3">
      <c r="C20" s="12">
        <f>SUM(C10:C19)</f>
        <v>226906.74222222224</v>
      </c>
      <c r="D20" s="12">
        <f>SUM(D10:D19)</f>
        <v>59177.489999999991</v>
      </c>
      <c r="E20" s="13">
        <f>SUM(E10:E19)</f>
        <v>286084.2322222222</v>
      </c>
    </row>
    <row r="23" spans="1:6" x14ac:dyDescent="0.25">
      <c r="F23" s="19">
        <f>E20+24361.91</f>
        <v>310446.14222222217</v>
      </c>
    </row>
  </sheetData>
  <mergeCells count="5">
    <mergeCell ref="A8:E8"/>
    <mergeCell ref="A1:D1"/>
    <mergeCell ref="A2:C2"/>
    <mergeCell ref="A3:C3"/>
    <mergeCell ref="A4:C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BC224-B02A-47DC-AF53-24804ED20BA3}">
  <dimension ref="A1:I21"/>
  <sheetViews>
    <sheetView zoomScale="90" zoomScaleNormal="90" workbookViewId="0">
      <selection activeCell="I22" sqref="I22"/>
    </sheetView>
  </sheetViews>
  <sheetFormatPr defaultRowHeight="15" x14ac:dyDescent="0.25"/>
  <cols>
    <col min="1" max="1" width="12.140625" bestFit="1" customWidth="1"/>
    <col min="2" max="2" width="13.85546875" bestFit="1" customWidth="1"/>
    <col min="3" max="3" width="24.140625" bestFit="1" customWidth="1"/>
    <col min="4" max="4" width="13.85546875" bestFit="1" customWidth="1"/>
    <col min="5" max="5" width="23.42578125" bestFit="1" customWidth="1"/>
    <col min="6" max="6" width="23.5703125" bestFit="1" customWidth="1"/>
    <col min="7" max="7" width="32.5703125" bestFit="1" customWidth="1"/>
    <col min="8" max="8" width="24.140625" bestFit="1" customWidth="1"/>
    <col min="9" max="9" width="13.85546875" bestFit="1" customWidth="1"/>
  </cols>
  <sheetData>
    <row r="1" spans="1:9" ht="15.75" thickBot="1" x14ac:dyDescent="0.3">
      <c r="A1" s="29" t="s">
        <v>30</v>
      </c>
      <c r="B1" s="30"/>
      <c r="C1" s="31"/>
    </row>
    <row r="2" spans="1:9" ht="15.75" thickBot="1" x14ac:dyDescent="0.3">
      <c r="A2" s="32" t="s">
        <v>15</v>
      </c>
      <c r="B2" s="33"/>
      <c r="C2" s="20">
        <v>1463073.99</v>
      </c>
    </row>
    <row r="3" spans="1:9" ht="15.75" thickBot="1" x14ac:dyDescent="0.3">
      <c r="A3" s="32" t="s">
        <v>16</v>
      </c>
      <c r="B3" s="33"/>
      <c r="C3" s="18">
        <v>476487.03</v>
      </c>
    </row>
    <row r="4" spans="1:9" ht="15.75" thickBot="1" x14ac:dyDescent="0.3">
      <c r="A4" s="32" t="s">
        <v>17</v>
      </c>
      <c r="B4" s="33"/>
      <c r="C4" s="3">
        <v>593548.63</v>
      </c>
    </row>
    <row r="5" spans="1:9" ht="15.75" thickBot="1" x14ac:dyDescent="0.3">
      <c r="C5" s="12">
        <f>SUM(C2:C4)</f>
        <v>2533109.65</v>
      </c>
    </row>
    <row r="6" spans="1:9" x14ac:dyDescent="0.25">
      <c r="C6" s="21"/>
    </row>
    <row r="7" spans="1:9" ht="15.75" thickBot="1" x14ac:dyDescent="0.3"/>
    <row r="8" spans="1:9" ht="15.75" thickBot="1" x14ac:dyDescent="0.3">
      <c r="A8" s="26" t="s">
        <v>33</v>
      </c>
      <c r="B8" s="27"/>
      <c r="C8" s="27"/>
      <c r="D8" s="28"/>
    </row>
    <row r="9" spans="1:9" ht="30.75" thickBot="1" x14ac:dyDescent="0.3">
      <c r="A9" s="1" t="s">
        <v>4</v>
      </c>
      <c r="B9" s="1" t="s">
        <v>6</v>
      </c>
      <c r="C9" s="5" t="s">
        <v>21</v>
      </c>
      <c r="D9" s="6" t="s">
        <v>5</v>
      </c>
      <c r="E9" s="1" t="s">
        <v>36</v>
      </c>
      <c r="F9" s="5" t="s">
        <v>37</v>
      </c>
      <c r="G9" s="1" t="s">
        <v>34</v>
      </c>
      <c r="H9" s="5" t="s">
        <v>35</v>
      </c>
      <c r="I9" s="6" t="s">
        <v>5</v>
      </c>
    </row>
    <row r="10" spans="1:9" ht="15.75" thickBot="1" x14ac:dyDescent="0.3">
      <c r="A10" s="2"/>
      <c r="B10" s="18">
        <v>32221.67</v>
      </c>
      <c r="C10" s="18">
        <f>11727.5-2127.62</f>
        <v>9599.880000000001</v>
      </c>
      <c r="D10" s="4">
        <f t="shared" ref="D10:D20" si="0">SUM(B10:C10)</f>
        <v>41821.550000000003</v>
      </c>
      <c r="E10" s="15">
        <v>7639.55</v>
      </c>
      <c r="F10" s="18">
        <f>1270.19-649.41</f>
        <v>620.78000000000009</v>
      </c>
      <c r="G10" s="18">
        <f t="shared" ref="G10:G14" si="1">B10-E10</f>
        <v>24582.12</v>
      </c>
      <c r="H10" s="4">
        <f>C10-F10</f>
        <v>8979.1</v>
      </c>
      <c r="I10" s="4">
        <f>SUM(G10:H10)</f>
        <v>33561.22</v>
      </c>
    </row>
    <row r="11" spans="1:9" ht="15.75" thickBot="1" x14ac:dyDescent="0.3">
      <c r="A11" s="2"/>
      <c r="B11" s="18">
        <v>23773.47</v>
      </c>
      <c r="C11" s="18">
        <f>8578.33-1966.47</f>
        <v>6611.86</v>
      </c>
      <c r="D11" s="4">
        <f t="shared" si="0"/>
        <v>30385.33</v>
      </c>
      <c r="E11" s="18"/>
      <c r="F11" s="18"/>
      <c r="G11" s="18">
        <f t="shared" si="1"/>
        <v>23773.47</v>
      </c>
      <c r="H11" s="4">
        <f>C11-F11</f>
        <v>6611.86</v>
      </c>
      <c r="I11" s="4">
        <f>SUM(G11:H11)</f>
        <v>30385.33</v>
      </c>
    </row>
    <row r="12" spans="1:9" ht="15.75" thickBot="1" x14ac:dyDescent="0.3">
      <c r="A12" s="2"/>
      <c r="B12" s="18">
        <v>33467.03</v>
      </c>
      <c r="C12" s="4">
        <f>11259.41-2283.53</f>
        <v>8975.8799999999992</v>
      </c>
      <c r="D12" s="4">
        <f t="shared" si="0"/>
        <v>42442.909999999996</v>
      </c>
      <c r="E12" s="15">
        <v>4058.38</v>
      </c>
      <c r="F12" s="4">
        <f>417.87-345.02</f>
        <v>72.850000000000023</v>
      </c>
      <c r="G12" s="18">
        <f t="shared" si="1"/>
        <v>29408.649999999998</v>
      </c>
      <c r="H12" s="4">
        <f>C12-F12</f>
        <v>8903.0299999999988</v>
      </c>
      <c r="I12" s="4">
        <f>SUM(G12:H12)</f>
        <v>38311.679999999993</v>
      </c>
    </row>
    <row r="13" spans="1:9" ht="15.75" thickBot="1" x14ac:dyDescent="0.3">
      <c r="A13" s="2"/>
      <c r="B13" s="18">
        <v>42977.56</v>
      </c>
      <c r="C13" s="18">
        <f>13855.27-2834.86</f>
        <v>11020.41</v>
      </c>
      <c r="D13" s="4">
        <f t="shared" si="0"/>
        <v>53997.97</v>
      </c>
      <c r="E13" s="15">
        <v>6739.56</v>
      </c>
      <c r="F13" s="18">
        <f>1055.99-572.91</f>
        <v>483.08000000000004</v>
      </c>
      <c r="G13" s="18">
        <f t="shared" si="1"/>
        <v>36238</v>
      </c>
      <c r="H13" s="4">
        <f>C13-F13</f>
        <v>10537.33</v>
      </c>
      <c r="I13" s="4">
        <f>SUM(G13:H13)</f>
        <v>46775.33</v>
      </c>
    </row>
    <row r="14" spans="1:9" ht="15.75" thickBot="1" x14ac:dyDescent="0.3">
      <c r="A14" s="17"/>
      <c r="B14" s="18">
        <f>75709.3*27.79%</f>
        <v>21039.61447</v>
      </c>
      <c r="C14" s="4">
        <f>(26569.22- 6297.57)*27.79%</f>
        <v>5633.4915350000001</v>
      </c>
      <c r="D14" s="4">
        <f t="shared" si="0"/>
        <v>26673.106005000001</v>
      </c>
      <c r="E14" s="18">
        <f>1621.33*27.79%</f>
        <v>450.56760699999995</v>
      </c>
      <c r="F14" s="4">
        <f>(385.87+46.18-137.79)*27.79%</f>
        <v>81.774853999999991</v>
      </c>
      <c r="G14" s="18">
        <f t="shared" si="1"/>
        <v>20589.046863</v>
      </c>
      <c r="H14" s="4">
        <f>C14-F14</f>
        <v>5551.7166809999999</v>
      </c>
      <c r="I14" s="4">
        <f>SUM(G14:H14)</f>
        <v>26140.763544000001</v>
      </c>
    </row>
    <row r="15" spans="1:9" ht="15.75" thickBot="1" x14ac:dyDescent="0.3">
      <c r="A15" s="2"/>
      <c r="B15" s="18">
        <v>38822.04</v>
      </c>
      <c r="C15" s="4">
        <f>13450.76-2727.16</f>
        <v>10723.6</v>
      </c>
      <c r="D15" s="4">
        <f t="shared" si="0"/>
        <v>49545.64</v>
      </c>
      <c r="E15" s="15">
        <v>6739.57</v>
      </c>
      <c r="F15" s="4">
        <f>1056-572.91</f>
        <v>483.09000000000003</v>
      </c>
      <c r="G15" s="18">
        <f>B15-E15</f>
        <v>32082.47</v>
      </c>
      <c r="H15" s="4">
        <f>C15-F15</f>
        <v>10240.51</v>
      </c>
      <c r="I15" s="4">
        <f>SUM(G15:H15)</f>
        <v>42322.98</v>
      </c>
    </row>
    <row r="16" spans="1:9" ht="15.75" thickBot="1" x14ac:dyDescent="0.3">
      <c r="A16" s="2"/>
      <c r="B16" s="18">
        <v>40059.42</v>
      </c>
      <c r="C16" s="4">
        <f>13841.76-2768.94</f>
        <v>11072.82</v>
      </c>
      <c r="D16" s="4">
        <f t="shared" si="0"/>
        <v>51132.24</v>
      </c>
      <c r="E16" s="15">
        <v>7483.42</v>
      </c>
      <c r="F16" s="4">
        <f>1233.03-636.16</f>
        <v>596.87</v>
      </c>
      <c r="G16" s="18">
        <f t="shared" ref="G16:G20" si="2">B16-E16</f>
        <v>32576</v>
      </c>
      <c r="H16" s="4">
        <f t="shared" ref="H16:H20" si="3">C16-F16</f>
        <v>10475.949999999999</v>
      </c>
      <c r="I16" s="4">
        <f>SUM(G16:H16)</f>
        <v>43051.95</v>
      </c>
    </row>
    <row r="17" spans="1:9" ht="15.75" thickBot="1" x14ac:dyDescent="0.3">
      <c r="A17" s="17"/>
      <c r="B17" s="4">
        <f>36334.52*66.67%</f>
        <v>24224.224484000002</v>
      </c>
      <c r="C17" s="4">
        <f>(  13508.37-2918.37)*66.67%</f>
        <v>7060.353000000001</v>
      </c>
      <c r="D17" s="4">
        <f t="shared" si="0"/>
        <v>31284.577484000001</v>
      </c>
      <c r="E17" s="4">
        <f>1913.43*66.67%</f>
        <v>1275.6837810000002</v>
      </c>
      <c r="F17" s="4">
        <f>(282.42-162.7)*66.67%</f>
        <v>79.817324000000028</v>
      </c>
      <c r="G17" s="18">
        <f t="shared" si="2"/>
        <v>22948.540703000002</v>
      </c>
      <c r="H17" s="4">
        <f t="shared" si="3"/>
        <v>6980.5356760000013</v>
      </c>
      <c r="I17" s="4">
        <f>SUM(G17:H17)</f>
        <v>29929.076379000006</v>
      </c>
    </row>
    <row r="18" spans="1:9" ht="15.75" thickBot="1" x14ac:dyDescent="0.3">
      <c r="A18" s="2"/>
      <c r="B18" s="18">
        <v>35089.800000000003</v>
      </c>
      <c r="C18" s="18">
        <f>13383.04-2930.44</f>
        <v>10452.6</v>
      </c>
      <c r="D18" s="4">
        <f t="shared" si="0"/>
        <v>45542.400000000001</v>
      </c>
      <c r="E18" s="18">
        <v>1282.57</v>
      </c>
      <c r="F18" s="18">
        <f>752.06-109.06</f>
        <v>643</v>
      </c>
      <c r="G18" s="18">
        <f t="shared" si="2"/>
        <v>33807.230000000003</v>
      </c>
      <c r="H18" s="4">
        <f t="shared" si="3"/>
        <v>9809.6</v>
      </c>
      <c r="I18" s="4">
        <f>SUM(G18:H18)</f>
        <v>43616.83</v>
      </c>
    </row>
    <row r="19" spans="1:9" ht="30" customHeight="1" thickBot="1" x14ac:dyDescent="0.3">
      <c r="A19" s="2"/>
      <c r="B19" s="18">
        <v>16700.650000000001</v>
      </c>
      <c r="C19" s="18"/>
      <c r="D19" s="4">
        <f t="shared" si="0"/>
        <v>16700.650000000001</v>
      </c>
      <c r="E19" s="18"/>
      <c r="F19" s="18"/>
      <c r="G19" s="18">
        <f t="shared" si="2"/>
        <v>16700.650000000001</v>
      </c>
      <c r="H19" s="4">
        <f t="shared" si="3"/>
        <v>0</v>
      </c>
      <c r="I19" s="4">
        <f>SUM(G19:H19)</f>
        <v>16700.650000000001</v>
      </c>
    </row>
    <row r="20" spans="1:9" ht="15.75" thickBot="1" x14ac:dyDescent="0.3">
      <c r="A20" s="17"/>
      <c r="B20" s="18">
        <v>9281.08</v>
      </c>
      <c r="C20" s="18">
        <f>3509.14-804.55</f>
        <v>2704.59</v>
      </c>
      <c r="D20" s="4">
        <f t="shared" si="0"/>
        <v>11985.67</v>
      </c>
      <c r="E20" s="18"/>
      <c r="F20" s="18"/>
      <c r="G20" s="18">
        <f t="shared" si="2"/>
        <v>9281.08</v>
      </c>
      <c r="H20" s="4">
        <f t="shared" si="3"/>
        <v>2704.59</v>
      </c>
      <c r="I20" s="4">
        <f>SUM(G20:H20)</f>
        <v>11985.67</v>
      </c>
    </row>
    <row r="21" spans="1:9" ht="15.75" thickBot="1" x14ac:dyDescent="0.3">
      <c r="B21" s="12">
        <f>SUM(B10:B20)</f>
        <v>317656.55895400001</v>
      </c>
      <c r="C21" s="12">
        <f>SUM(C10:C20)</f>
        <v>83855.484534999996</v>
      </c>
      <c r="D21" s="13">
        <f>SUM(D10:D20)</f>
        <v>401512.04348900006</v>
      </c>
      <c r="E21" s="12">
        <f>SUM(E11:E20)</f>
        <v>28029.751387999997</v>
      </c>
      <c r="F21" s="12">
        <f>SUM(F10:F20)</f>
        <v>3061.2621779999999</v>
      </c>
      <c r="G21" s="12">
        <f>SUM(G10:G20)</f>
        <v>281987.25756600004</v>
      </c>
      <c r="H21" s="12">
        <f>SUM(H10:H20)</f>
        <v>80794.222357000006</v>
      </c>
      <c r="I21" s="13">
        <f>SUM(I10:I20)</f>
        <v>362781.47992299998</v>
      </c>
    </row>
  </sheetData>
  <mergeCells count="5">
    <mergeCell ref="A8:D8"/>
    <mergeCell ref="A1:C1"/>
    <mergeCell ref="A2:B2"/>
    <mergeCell ref="A3:B3"/>
    <mergeCell ref="A4: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EE5C6-3B50-44F0-A7C8-DEFEA3320DE9}">
  <dimension ref="A1:G14"/>
  <sheetViews>
    <sheetView workbookViewId="0">
      <selection activeCell="E14" sqref="E14"/>
    </sheetView>
  </sheetViews>
  <sheetFormatPr defaultRowHeight="15" x14ac:dyDescent="0.25"/>
  <cols>
    <col min="1" max="1" width="39" customWidth="1"/>
    <col min="2" max="2" width="37.140625" customWidth="1"/>
    <col min="3" max="3" width="26.7109375" customWidth="1"/>
    <col min="4" max="4" width="17.7109375" customWidth="1"/>
    <col min="5" max="6" width="28.28515625" customWidth="1"/>
    <col min="7" max="7" width="19" customWidth="1"/>
  </cols>
  <sheetData>
    <row r="1" spans="1:7" x14ac:dyDescent="0.25">
      <c r="A1" s="36" t="s">
        <v>41</v>
      </c>
      <c r="B1" s="36" t="s">
        <v>42</v>
      </c>
      <c r="C1" s="36" t="s">
        <v>43</v>
      </c>
      <c r="D1" s="36" t="s">
        <v>47</v>
      </c>
      <c r="E1" s="36" t="s">
        <v>44</v>
      </c>
      <c r="F1" s="36" t="s">
        <v>46</v>
      </c>
      <c r="G1" s="36" t="s">
        <v>45</v>
      </c>
    </row>
    <row r="2" spans="1:7" x14ac:dyDescent="0.25">
      <c r="A2" s="35">
        <v>25429.85757</v>
      </c>
      <c r="B2" s="35">
        <v>6611.7629682000006</v>
      </c>
      <c r="C2" s="35">
        <v>2161.53789345</v>
      </c>
      <c r="D2" s="35">
        <v>0</v>
      </c>
      <c r="E2" s="38">
        <f>1500*1.235</f>
        <v>1852.5000000000002</v>
      </c>
      <c r="F2" s="38">
        <f>9000*1.238</f>
        <v>11142</v>
      </c>
      <c r="G2" s="41">
        <f>A13+B13+D13+E2+F2</f>
        <v>353747.83946346096</v>
      </c>
    </row>
    <row r="3" spans="1:7" x14ac:dyDescent="0.25">
      <c r="A3" s="35">
        <v>26811.627570000001</v>
      </c>
      <c r="B3" s="35">
        <v>6971.0231682000003</v>
      </c>
      <c r="C3" s="35">
        <v>2278.9883434500002</v>
      </c>
      <c r="D3" s="35">
        <v>0</v>
      </c>
      <c r="E3" s="39"/>
      <c r="F3" s="39"/>
      <c r="G3" s="42"/>
    </row>
    <row r="4" spans="1:7" x14ac:dyDescent="0.25">
      <c r="A4" s="35">
        <v>24895.03757</v>
      </c>
      <c r="B4" s="35">
        <v>6472.7097682000003</v>
      </c>
      <c r="C4" s="35">
        <v>2116.0781934500001</v>
      </c>
      <c r="D4" s="35">
        <v>0</v>
      </c>
      <c r="E4" s="39"/>
      <c r="F4" s="39"/>
      <c r="G4" s="42"/>
    </row>
    <row r="5" spans="1:7" x14ac:dyDescent="0.25">
      <c r="A5" s="35">
        <v>31849.17398</v>
      </c>
      <c r="B5" s="35">
        <v>8280.7852347999997</v>
      </c>
      <c r="C5" s="35">
        <v>2707.1797883000004</v>
      </c>
      <c r="D5" s="35">
        <v>0</v>
      </c>
      <c r="E5" s="39"/>
      <c r="F5" s="39"/>
      <c r="G5" s="42"/>
    </row>
    <row r="6" spans="1:7" x14ac:dyDescent="0.25">
      <c r="A6" s="35">
        <v>8320.3058400000009</v>
      </c>
      <c r="B6" s="35">
        <v>2163.2795184000001</v>
      </c>
      <c r="C6" s="35">
        <v>707.2259964000001</v>
      </c>
      <c r="D6" s="35">
        <f>(618.17/2)*4</f>
        <v>1236.3399999999999</v>
      </c>
      <c r="E6" s="39"/>
      <c r="F6" s="39"/>
      <c r="G6" s="42"/>
    </row>
    <row r="7" spans="1:7" x14ac:dyDescent="0.25">
      <c r="A7" s="35">
        <v>31849.17398</v>
      </c>
      <c r="B7" s="35">
        <v>8280.7852347999997</v>
      </c>
      <c r="C7" s="35">
        <v>2707.1797883000004</v>
      </c>
      <c r="D7" s="35">
        <v>0</v>
      </c>
      <c r="E7" s="39"/>
      <c r="F7" s="39"/>
      <c r="G7" s="42"/>
    </row>
    <row r="8" spans="1:7" x14ac:dyDescent="0.25">
      <c r="A8" s="35">
        <f>28227.89398*66.67%</f>
        <v>18819.536916466004</v>
      </c>
      <c r="B8" s="35">
        <f>A8*23.8%</f>
        <v>4479.0497861189097</v>
      </c>
      <c r="C8" s="35">
        <f>A8*8.5%</f>
        <v>1599.6606378996105</v>
      </c>
      <c r="D8" s="35">
        <f>8036.21*66.67%</f>
        <v>5357.7412070000009</v>
      </c>
      <c r="E8" s="39"/>
      <c r="F8" s="39"/>
      <c r="G8" s="42"/>
    </row>
    <row r="9" spans="1:7" x14ac:dyDescent="0.25">
      <c r="A9" s="35">
        <v>23256.755405</v>
      </c>
      <c r="B9" s="35">
        <v>6046.7564053000006</v>
      </c>
      <c r="C9" s="35">
        <v>1976.8242094250002</v>
      </c>
      <c r="D9" s="35">
        <v>0</v>
      </c>
      <c r="E9" s="39"/>
      <c r="F9" s="39"/>
      <c r="G9" s="42"/>
    </row>
    <row r="10" spans="1:7" x14ac:dyDescent="0.25">
      <c r="A10" s="35">
        <v>31849.17398</v>
      </c>
      <c r="B10" s="35">
        <v>8280.7852347999997</v>
      </c>
      <c r="C10" s="35">
        <v>2707.1797883000004</v>
      </c>
      <c r="D10" s="35">
        <v>0</v>
      </c>
      <c r="E10" s="39"/>
      <c r="F10" s="39"/>
      <c r="G10" s="42"/>
    </row>
    <row r="11" spans="1:7" x14ac:dyDescent="0.25">
      <c r="A11" s="35">
        <f>72301.84*27.78%</f>
        <v>20085.451151999998</v>
      </c>
      <c r="B11" s="35">
        <f>A11*23.8%</f>
        <v>4780.3373741759997</v>
      </c>
      <c r="C11" s="35">
        <f>A11*8.5%</f>
        <v>1707.2633479199999</v>
      </c>
      <c r="D11" s="35">
        <v>0</v>
      </c>
      <c r="E11" s="39"/>
      <c r="F11" s="39"/>
      <c r="G11" s="42"/>
    </row>
    <row r="12" spans="1:7" ht="27.75" customHeight="1" x14ac:dyDescent="0.25">
      <c r="A12" s="35">
        <v>22718.960000000003</v>
      </c>
      <c r="B12" s="35">
        <v>5906.9296000000013</v>
      </c>
      <c r="C12" s="35">
        <v>1931.1116000000004</v>
      </c>
      <c r="D12" s="35">
        <v>0</v>
      </c>
      <c r="E12" s="39"/>
      <c r="F12" s="39"/>
      <c r="G12" s="42"/>
    </row>
    <row r="13" spans="1:7" x14ac:dyDescent="0.25">
      <c r="A13" s="37">
        <f>SUM(A2:A12)</f>
        <v>265885.05396346602</v>
      </c>
      <c r="B13" s="37">
        <f t="shared" ref="B13:D13" si="0">SUM(B2:B12)</f>
        <v>68274.204292994909</v>
      </c>
      <c r="C13" s="37">
        <f t="shared" si="0"/>
        <v>22600.229586894613</v>
      </c>
      <c r="D13" s="37">
        <f t="shared" si="0"/>
        <v>6594.0812070000011</v>
      </c>
      <c r="E13" s="40"/>
      <c r="F13" s="40"/>
      <c r="G13" s="43"/>
    </row>
    <row r="14" spans="1:7" x14ac:dyDescent="0.25">
      <c r="G14" s="19">
        <f>G2</f>
        <v>353747.83946346096</v>
      </c>
    </row>
  </sheetData>
  <mergeCells count="3">
    <mergeCell ref="G2:G13"/>
    <mergeCell ref="F2:F13"/>
    <mergeCell ref="E2:E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6B482-8483-4F73-AA59-5C5C2D6CBBF4}">
  <dimension ref="A1:B3"/>
  <sheetViews>
    <sheetView tabSelected="1" workbookViewId="0">
      <selection activeCell="B3" sqref="B3"/>
    </sheetView>
  </sheetViews>
  <sheetFormatPr defaultRowHeight="15" x14ac:dyDescent="0.25"/>
  <cols>
    <col min="1" max="1" width="30.42578125" customWidth="1"/>
    <col min="2" max="2" width="18.5703125" customWidth="1"/>
  </cols>
  <sheetData>
    <row r="1" spans="1:2" ht="16.5" thickBot="1" x14ac:dyDescent="0.3">
      <c r="A1" s="8" t="s">
        <v>7</v>
      </c>
      <c r="B1" s="3">
        <f>379443</f>
        <v>379443</v>
      </c>
    </row>
    <row r="2" spans="1:2" ht="32.25" thickBot="1" x14ac:dyDescent="0.3">
      <c r="A2" s="9" t="s">
        <v>48</v>
      </c>
      <c r="B2" s="4">
        <f>'2026'!G14+'2026'!C13</f>
        <v>376348.06905035558</v>
      </c>
    </row>
    <row r="3" spans="1:2" ht="48" thickBot="1" x14ac:dyDescent="0.3">
      <c r="A3" s="9" t="s">
        <v>8</v>
      </c>
      <c r="B3" s="14" t="str">
        <f>IF(B2&lt;B1,"OK","NO")</f>
        <v>OK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CHECK DM 17-3-2020</vt:lpstr>
      <vt:lpstr>2022</vt:lpstr>
      <vt:lpstr>2023</vt:lpstr>
      <vt:lpstr>2024</vt:lpstr>
      <vt:lpstr>2026</vt:lpstr>
      <vt:lpstr>CHECK 557 296-06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2022-11-28T10:50:18Z</cp:lastPrinted>
  <dcterms:created xsi:type="dcterms:W3CDTF">2022-11-26T10:39:05Z</dcterms:created>
  <dcterms:modified xsi:type="dcterms:W3CDTF">2026-03-12T15:41:19Z</dcterms:modified>
</cp:coreProperties>
</file>